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685" windowHeight="13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<sst xmlns="http://schemas.openxmlformats.org/spreadsheetml/2006/main" count="102" uniqueCount="56">
  <si>
    <t>Starter Separate</t>
  </si>
  <si>
    <t>Including Starter</t>
  </si>
  <si>
    <t>Actual</t>
  </si>
  <si>
    <t>Ingredient</t>
  </si>
  <si>
    <t>Grams</t>
  </si>
  <si>
    <t>Bakers %</t>
  </si>
  <si>
    <t>Total %</t>
  </si>
  <si>
    <t>Grams Used</t>
  </si>
  <si>
    <t>W/Starter</t>
  </si>
  <si>
    <t>Flour</t>
  </si>
  <si>
    <t>Water</t>
  </si>
  <si>
    <t>IDY</t>
  </si>
  <si>
    <t>Salt</t>
  </si>
  <si>
    <t>Mixer Residue</t>
  </si>
  <si>
    <t>Set this number once</t>
  </si>
  <si>
    <t>Grams / 13" Pie</t>
  </si>
  <si>
    <t>Number of Pies</t>
  </si>
  <si>
    <t>Items in Green are what you actually use to mix your pizza</t>
  </si>
  <si>
    <t>If you find that the actual amount of flour used varied from the amount in green, adjust the</t>
  </si>
  <si>
    <t>orange number to figure out what your actual baker's percents were</t>
  </si>
  <si>
    <t># of Pies</t>
  </si>
  <si>
    <t>Gram/Pie</t>
  </si>
  <si>
    <t>Starter</t>
  </si>
  <si>
    <t>Mix/Rest</t>
  </si>
  <si>
    <t>Flour Type</t>
  </si>
  <si>
    <t>Water Type</t>
  </si>
  <si>
    <t>Score 1-10</t>
  </si>
  <si>
    <t>Other procedures</t>
  </si>
  <si>
    <t>Comments</t>
  </si>
  <si>
    <t>Caputo Red</t>
  </si>
  <si>
    <t>1/20/6/6/4/20</t>
  </si>
  <si>
    <t>KASL</t>
  </si>
  <si>
    <t>Filtered</t>
  </si>
  <si>
    <t>1/20/10/5/5/20</t>
  </si>
  <si>
    <t>KA Bread</t>
  </si>
  <si>
    <t>Caputo Pizza</t>
  </si>
  <si>
    <t>pizzanapoletana</t>
  </si>
  <si>
    <t>Starter % Flour</t>
  </si>
  <si>
    <t>Bread/Caputo</t>
  </si>
  <si>
    <t>Baker's %</t>
  </si>
  <si>
    <t>Grams Per Liter of Water</t>
  </si>
  <si>
    <t>3 Pies</t>
  </si>
  <si>
    <t>5 Pies</t>
  </si>
  <si>
    <t>1 Pie</t>
  </si>
  <si>
    <t>Total</t>
  </si>
  <si>
    <t>Filtered Water</t>
  </si>
  <si>
    <t>Kosher or Sea Salt</t>
  </si>
  <si>
    <t>Sourdough yeast culture (as a battery poolish)</t>
  </si>
  <si>
    <t>Flour King Arthur Bread, or Caputo</t>
  </si>
  <si>
    <t>Instant Dry yeast (IDY)</t>
  </si>
  <si>
    <t>Vary the Items in the chart below. The row with the highest # value or date value in the</t>
  </si>
  <si>
    <r>
      <t>Date</t>
    </r>
    <r>
      <rPr>
        <sz val="10"/>
        <color indexed="12"/>
        <rFont val="Arial"/>
        <family val="0"/>
      </rPr>
      <t xml:space="preserve"> column below will be the one pushed into the chart above.</t>
    </r>
  </si>
  <si>
    <t>Date</t>
  </si>
  <si>
    <t>1/20/10/20</t>
  </si>
  <si>
    <t>Giusto</t>
  </si>
  <si>
    <t>White Lily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</si>
</sst>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0.0000%"/>
    <numFmt numFmtId="169" formatCode="[$-409]dddd\,\ mmmm\ dd\,\ yyyy"/>
    <numFmt numFmtId="170" formatCode="mm/dd/yy;@"/>
    <numFmt numFmtId="171" formatCode="0.0000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\-yyyy"/>
  </numFmts>
  <fonts count="14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0"/>
    </font>
    <font>
      <b/>
      <u val="single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43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0" fillId="0" borderId="0" xfId="21" applyNumberFormat="1" applyAlignment="1">
      <alignment/>
    </xf>
    <xf numFmtId="165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43" fontId="1" fillId="0" borderId="2" xfId="15" applyNumberFormat="1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10" fontId="1" fillId="0" borderId="3" xfId="21" applyNumberFormat="1" applyFont="1" applyBorder="1" applyAlignment="1">
      <alignment horizontal="centerContinuous"/>
    </xf>
    <xf numFmtId="164" fontId="1" fillId="0" borderId="2" xfId="21" applyNumberFormat="1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165" fontId="1" fillId="0" borderId="2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5" xfId="0" applyFont="1" applyBorder="1" applyAlignment="1">
      <alignment/>
    </xf>
    <xf numFmtId="43" fontId="1" fillId="0" borderId="6" xfId="15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0" fontId="1" fillId="0" borderId="7" xfId="21" applyNumberFormat="1" applyFont="1" applyBorder="1" applyAlignment="1">
      <alignment horizontal="center"/>
    </xf>
    <xf numFmtId="164" fontId="1" fillId="0" borderId="6" xfId="21" applyNumberFormat="1" applyFont="1" applyBorder="1" applyAlignment="1">
      <alignment horizontal="center"/>
    </xf>
    <xf numFmtId="164" fontId="1" fillId="0" borderId="7" xfId="21" applyNumberFormat="1" applyFont="1" applyBorder="1" applyAlignment="1">
      <alignment horizontal="center"/>
    </xf>
    <xf numFmtId="164" fontId="1" fillId="0" borderId="8" xfId="21" applyNumberFormat="1" applyFont="1" applyBorder="1" applyAlignment="1">
      <alignment horizontal="center"/>
    </xf>
    <xf numFmtId="43" fontId="1" fillId="0" borderId="6" xfId="15" applyFont="1" applyBorder="1" applyAlignment="1">
      <alignment horizontal="center"/>
    </xf>
    <xf numFmtId="0" fontId="1" fillId="0" borderId="9" xfId="0" applyFont="1" applyBorder="1" applyAlignment="1">
      <alignment/>
    </xf>
    <xf numFmtId="43" fontId="3" fillId="0" borderId="0" xfId="15" applyNumberFormat="1" applyFont="1" applyBorder="1" applyAlignment="1">
      <alignment horizontal="right"/>
    </xf>
    <xf numFmtId="10" fontId="0" fillId="0" borderId="0" xfId="21" applyNumberFormat="1" applyFont="1" applyBorder="1" applyAlignment="1">
      <alignment horizontal="right"/>
    </xf>
    <xf numFmtId="10" fontId="0" fillId="0" borderId="10" xfId="21" applyNumberFormat="1" applyBorder="1" applyAlignment="1">
      <alignment horizontal="right"/>
    </xf>
    <xf numFmtId="43" fontId="0" fillId="0" borderId="0" xfId="15" applyBorder="1" applyAlignment="1">
      <alignment horizontal="right"/>
    </xf>
    <xf numFmtId="10" fontId="0" fillId="0" borderId="0" xfId="21" applyNumberFormat="1" applyBorder="1" applyAlignment="1">
      <alignment horizontal="right"/>
    </xf>
    <xf numFmtId="43" fontId="4" fillId="0" borderId="11" xfId="15" applyFont="1" applyBorder="1" applyAlignment="1">
      <alignment horizontal="right"/>
    </xf>
    <xf numFmtId="43" fontId="0" fillId="0" borderId="0" xfId="15" applyBorder="1" applyAlignment="1">
      <alignment horizontal="center"/>
    </xf>
    <xf numFmtId="10" fontId="5" fillId="0" borderId="0" xfId="21" applyNumberFormat="1" applyFont="1" applyBorder="1" applyAlignment="1">
      <alignment horizontal="right"/>
    </xf>
    <xf numFmtId="43" fontId="0" fillId="0" borderId="11" xfId="21" applyNumberFormat="1" applyBorder="1" applyAlignment="1">
      <alignment horizontal="right"/>
    </xf>
    <xf numFmtId="43" fontId="0" fillId="0" borderId="0" xfId="15" applyBorder="1" applyAlignment="1">
      <alignment horizontal="left" indent="1"/>
    </xf>
    <xf numFmtId="10" fontId="5" fillId="0" borderId="10" xfId="21" applyNumberFormat="1" applyFont="1" applyBorder="1" applyAlignment="1">
      <alignment horizontal="right"/>
    </xf>
    <xf numFmtId="43" fontId="0" fillId="0" borderId="8" xfId="21" applyNumberFormat="1" applyBorder="1" applyAlignment="1">
      <alignment horizontal="right"/>
    </xf>
    <xf numFmtId="43" fontId="0" fillId="0" borderId="6" xfId="15" applyBorder="1" applyAlignment="1">
      <alignment horizontal="center"/>
    </xf>
    <xf numFmtId="10" fontId="0" fillId="0" borderId="7" xfId="21" applyNumberFormat="1" applyBorder="1" applyAlignment="1">
      <alignment horizontal="right"/>
    </xf>
    <xf numFmtId="0" fontId="0" fillId="0" borderId="5" xfId="0" applyBorder="1" applyAlignment="1">
      <alignment/>
    </xf>
    <xf numFmtId="43" fontId="0" fillId="0" borderId="12" xfId="15" applyNumberFormat="1" applyBorder="1" applyAlignment="1">
      <alignment horizontal="right"/>
    </xf>
    <xf numFmtId="10" fontId="0" fillId="0" borderId="13" xfId="21" applyNumberFormat="1" applyBorder="1" applyAlignment="1">
      <alignment horizontal="right"/>
    </xf>
    <xf numFmtId="10" fontId="0" fillId="0" borderId="14" xfId="21" applyNumberFormat="1" applyBorder="1" applyAlignment="1">
      <alignment horizontal="right"/>
    </xf>
    <xf numFmtId="166" fontId="0" fillId="0" borderId="13" xfId="15" applyNumberFormat="1" applyBorder="1" applyAlignment="1">
      <alignment horizontal="right"/>
    </xf>
    <xf numFmtId="43" fontId="0" fillId="0" borderId="8" xfId="15" applyBorder="1" applyAlignment="1">
      <alignment horizontal="right"/>
    </xf>
    <xf numFmtId="10" fontId="0" fillId="0" borderId="7" xfId="21" applyNumberFormat="1" applyBorder="1" applyAlignment="1">
      <alignment/>
    </xf>
    <xf numFmtId="43" fontId="0" fillId="0" borderId="0" xfId="15" applyNumberFormat="1" applyAlignment="1">
      <alignment/>
    </xf>
    <xf numFmtId="10" fontId="0" fillId="0" borderId="0" xfId="21" applyNumberFormat="1" applyAlignment="1">
      <alignment horizontal="right"/>
    </xf>
    <xf numFmtId="164" fontId="0" fillId="0" borderId="0" xfId="21" applyNumberFormat="1" applyAlignment="1">
      <alignment horizontal="right"/>
    </xf>
    <xf numFmtId="43" fontId="0" fillId="0" borderId="0" xfId="15" applyAlignment="1">
      <alignment horizontal="center"/>
    </xf>
    <xf numFmtId="0" fontId="1" fillId="0" borderId="0" xfId="0" applyFont="1" applyFill="1" applyBorder="1" applyAlignment="1">
      <alignment/>
    </xf>
    <xf numFmtId="167" fontId="6" fillId="0" borderId="0" xfId="15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167" fontId="8" fillId="0" borderId="0" xfId="15" applyNumberFormat="1" applyFont="1" applyAlignment="1">
      <alignment/>
    </xf>
    <xf numFmtId="43" fontId="0" fillId="0" borderId="0" xfId="15" applyAlignment="1">
      <alignment horizontal="right"/>
    </xf>
    <xf numFmtId="43" fontId="0" fillId="0" borderId="0" xfId="15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68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15" applyNumberFormat="1" applyFont="1" applyBorder="1" applyAlignment="1">
      <alignment horizontal="left"/>
    </xf>
    <xf numFmtId="0" fontId="10" fillId="0" borderId="0" xfId="0" applyFont="1" applyAlignment="1">
      <alignment horizontal="right" wrapText="1"/>
    </xf>
    <xf numFmtId="43" fontId="10" fillId="0" borderId="0" xfId="0" applyNumberFormat="1" applyFont="1" applyAlignment="1">
      <alignment horizontal="right" wrapText="1"/>
    </xf>
    <xf numFmtId="10" fontId="10" fillId="0" borderId="0" xfId="0" applyNumberFormat="1" applyFont="1" applyAlignment="1">
      <alignment horizontal="right" wrapText="1"/>
    </xf>
    <xf numFmtId="164" fontId="10" fillId="0" borderId="0" xfId="21" applyNumberFormat="1" applyFont="1" applyAlignment="1">
      <alignment horizontal="right" wrapText="1"/>
    </xf>
    <xf numFmtId="165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left" wrapText="1"/>
    </xf>
    <xf numFmtId="167" fontId="9" fillId="0" borderId="0" xfId="15" applyNumberFormat="1" applyFont="1" applyAlignment="1">
      <alignment horizontal="right"/>
    </xf>
    <xf numFmtId="167" fontId="9" fillId="0" borderId="0" xfId="15" applyNumberFormat="1" applyFont="1" applyAlignment="1">
      <alignment horizontal="center"/>
    </xf>
    <xf numFmtId="0" fontId="9" fillId="0" borderId="0" xfId="0" applyFont="1" applyAlignment="1">
      <alignment horizontal="center"/>
    </xf>
    <xf numFmtId="10" fontId="9" fillId="0" borderId="0" xfId="0" applyNumberFormat="1" applyFont="1" applyAlignment="1">
      <alignment/>
    </xf>
    <xf numFmtId="10" fontId="9" fillId="0" borderId="0" xfId="21" applyNumberFormat="1" applyFont="1" applyAlignment="1">
      <alignment/>
    </xf>
    <xf numFmtId="10" fontId="9" fillId="0" borderId="0" xfId="0" applyNumberFormat="1" applyFont="1" applyAlignment="1">
      <alignment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20" applyAlignment="1">
      <alignment/>
    </xf>
    <xf numFmtId="165" fontId="9" fillId="0" borderId="0" xfId="15" applyNumberFormat="1" applyFont="1" applyAlignment="1">
      <alignment horizontal="center"/>
    </xf>
    <xf numFmtId="170" fontId="9" fillId="0" borderId="0" xfId="15" applyNumberFormat="1" applyFont="1" applyAlignment="1">
      <alignment horizontal="right"/>
    </xf>
    <xf numFmtId="43" fontId="0" fillId="0" borderId="0" xfId="15" applyNumberFormat="1" applyBorder="1" applyAlignment="1">
      <alignment/>
    </xf>
    <xf numFmtId="10" fontId="0" fillId="0" borderId="0" xfId="21" applyNumberForma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3" fillId="0" borderId="16" xfId="0" applyFont="1" applyBorder="1" applyAlignment="1">
      <alignment/>
    </xf>
    <xf numFmtId="43" fontId="13" fillId="0" borderId="17" xfId="15" applyNumberFormat="1" applyFont="1" applyBorder="1" applyAlignment="1">
      <alignment/>
    </xf>
    <xf numFmtId="10" fontId="13" fillId="0" borderId="17" xfId="21" applyNumberFormat="1" applyFont="1" applyBorder="1" applyAlignment="1">
      <alignment/>
    </xf>
    <xf numFmtId="43" fontId="13" fillId="0" borderId="18" xfId="15" applyNumberFormat="1" applyFont="1" applyBorder="1" applyAlignment="1">
      <alignment/>
    </xf>
    <xf numFmtId="10" fontId="13" fillId="0" borderId="18" xfId="0" applyNumberFormat="1" applyFont="1" applyBorder="1" applyAlignment="1">
      <alignment/>
    </xf>
    <xf numFmtId="10" fontId="13" fillId="0" borderId="18" xfId="21" applyNumberFormat="1" applyFont="1" applyBorder="1" applyAlignment="1">
      <alignment/>
    </xf>
    <xf numFmtId="0" fontId="13" fillId="0" borderId="19" xfId="0" applyFont="1" applyBorder="1" applyAlignment="1">
      <alignment/>
    </xf>
    <xf numFmtId="43" fontId="13" fillId="0" borderId="1" xfId="15" applyNumberFormat="1" applyFont="1" applyBorder="1" applyAlignment="1">
      <alignment/>
    </xf>
    <xf numFmtId="10" fontId="13" fillId="0" borderId="1" xfId="21" applyNumberFormat="1" applyFont="1" applyBorder="1" applyAlignment="1">
      <alignment/>
    </xf>
    <xf numFmtId="0" fontId="1" fillId="0" borderId="20" xfId="0" applyFont="1" applyBorder="1" applyAlignment="1">
      <alignment/>
    </xf>
    <xf numFmtId="43" fontId="1" fillId="0" borderId="21" xfId="15" applyNumberFormat="1" applyFont="1" applyBorder="1" applyAlignment="1">
      <alignment/>
    </xf>
    <xf numFmtId="43" fontId="13" fillId="0" borderId="21" xfId="15" applyNumberFormat="1" applyFont="1" applyBorder="1" applyAlignment="1">
      <alignment/>
    </xf>
    <xf numFmtId="10" fontId="13" fillId="0" borderId="21" xfId="21" applyNumberFormat="1" applyFont="1" applyBorder="1" applyAlignment="1">
      <alignment/>
    </xf>
    <xf numFmtId="2" fontId="13" fillId="0" borderId="22" xfId="0" applyNumberFormat="1" applyFont="1" applyBorder="1" applyAlignment="1">
      <alignment/>
    </xf>
    <xf numFmtId="43" fontId="1" fillId="0" borderId="23" xfId="15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3" fontId="13" fillId="0" borderId="25" xfId="15" applyFont="1" applyBorder="1" applyAlignment="1">
      <alignment/>
    </xf>
    <xf numFmtId="43" fontId="13" fillId="0" borderId="26" xfId="15" applyFont="1" applyBorder="1" applyAlignment="1">
      <alignment/>
    </xf>
    <xf numFmtId="43" fontId="13" fillId="0" borderId="27" xfId="15" applyFont="1" applyBorder="1" applyAlignment="1">
      <alignment/>
    </xf>
    <xf numFmtId="16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zzamaking.com/forum/index.php?action=profile;u=417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workbookViewId="0" topLeftCell="A1">
      <selection activeCell="F27" sqref="F27"/>
    </sheetView>
  </sheetViews>
  <sheetFormatPr defaultColWidth="9.140625" defaultRowHeight="12.75"/>
  <cols>
    <col min="1" max="1" width="10.140625" style="0" customWidth="1"/>
    <col min="2" max="2" width="13.8515625" style="0" customWidth="1"/>
    <col min="3" max="3" width="10.28125" style="0" bestFit="1" customWidth="1"/>
    <col min="6" max="6" width="10.28125" style="0" bestFit="1" customWidth="1"/>
    <col min="7" max="7" width="14.00390625" style="0" customWidth="1"/>
    <col min="9" max="9" width="12.8515625" style="0" bestFit="1" customWidth="1"/>
    <col min="10" max="10" width="12.140625" style="0" bestFit="1" customWidth="1"/>
    <col min="13" max="13" width="10.28125" style="0" customWidth="1"/>
    <col min="14" max="14" width="10.421875" style="0" customWidth="1"/>
  </cols>
  <sheetData>
    <row r="1" spans="2:11" ht="12.75">
      <c r="B1" s="1"/>
      <c r="D1" s="2"/>
      <c r="F1" s="3"/>
      <c r="J1" s="4"/>
      <c r="K1" s="4"/>
    </row>
    <row r="2" spans="2:11" ht="12.75">
      <c r="B2" s="5"/>
      <c r="C2" s="6" t="s">
        <v>0</v>
      </c>
      <c r="D2" s="7"/>
      <c r="E2" s="8"/>
      <c r="F2" s="9" t="s">
        <v>1</v>
      </c>
      <c r="G2" s="9"/>
      <c r="H2" s="10"/>
      <c r="I2" s="11"/>
      <c r="J2" s="12" t="s">
        <v>2</v>
      </c>
      <c r="K2" s="13"/>
    </row>
    <row r="3" spans="1:15" ht="12.75">
      <c r="A3" s="14"/>
      <c r="B3" s="15" t="s">
        <v>3</v>
      </c>
      <c r="C3" s="16" t="s">
        <v>4</v>
      </c>
      <c r="D3" s="17" t="s">
        <v>5</v>
      </c>
      <c r="E3" s="18" t="s">
        <v>6</v>
      </c>
      <c r="F3" s="19" t="s">
        <v>4</v>
      </c>
      <c r="G3" s="19" t="s">
        <v>5</v>
      </c>
      <c r="H3" s="20" t="s">
        <v>6</v>
      </c>
      <c r="I3" s="21" t="s">
        <v>7</v>
      </c>
      <c r="J3" s="22" t="s">
        <v>8</v>
      </c>
      <c r="K3" s="20" t="s">
        <v>5</v>
      </c>
      <c r="L3" s="14"/>
      <c r="M3" s="14"/>
      <c r="N3" s="14"/>
      <c r="O3" s="14"/>
    </row>
    <row r="4" spans="2:13" ht="12.75">
      <c r="B4" s="23" t="s">
        <v>9</v>
      </c>
      <c r="C4" s="24">
        <f>F4-(C6*VLOOKUP(MAX($A$21:$A$1002),$A$21:$H$1002,6,FALSE))</f>
        <v>500.3513059701493</v>
      </c>
      <c r="D4" s="25">
        <v>1</v>
      </c>
      <c r="E4" s="26">
        <f>C4/C$9</f>
        <v>0.5220149253731344</v>
      </c>
      <c r="F4" s="27">
        <f>F$9*G4/SUM(G$4:G$8)</f>
        <v>572.2388059701493</v>
      </c>
      <c r="G4" s="28">
        <v>1</v>
      </c>
      <c r="H4" s="26">
        <f>F4/F$9</f>
        <v>0.5970149253731344</v>
      </c>
      <c r="I4" s="29">
        <v>1040</v>
      </c>
      <c r="J4" s="30">
        <f>I4+(I6*VLOOKUP(MAX($A$21:$A$1002),$A$21:$H$1002,6,FALSE))</f>
        <v>1111.8875</v>
      </c>
      <c r="K4" s="26">
        <v>1</v>
      </c>
      <c r="M4" s="1">
        <f>(F4*2.2)/1000</f>
        <v>1.2589253731343286</v>
      </c>
    </row>
    <row r="5" spans="2:11" ht="12.75">
      <c r="B5" s="23" t="s">
        <v>10</v>
      </c>
      <c r="C5" s="24">
        <f>F5-(C6*(1-VLOOKUP(MAX($A$21:$A$1002),$A$21:$H$1002,6,FALSE)))</f>
        <v>300.06772388059704</v>
      </c>
      <c r="D5" s="25">
        <f>C5/C$4</f>
        <v>0.5997140814867762</v>
      </c>
      <c r="E5" s="26">
        <f>C5/C$9</f>
        <v>0.31305970149253737</v>
      </c>
      <c r="F5" s="27">
        <f>F$9*G5/SUM(G$4:G$8)</f>
        <v>371.95522388059703</v>
      </c>
      <c r="G5" s="31">
        <f>VLOOKUP(MAX($A$21:$A$1002),$A$21:$H$1002,4,FALSE)</f>
        <v>0.65</v>
      </c>
      <c r="H5" s="26">
        <f>F5/F$9</f>
        <v>0.3880597014925373</v>
      </c>
      <c r="I5" s="32">
        <f>C5</f>
        <v>300.06772388059704</v>
      </c>
      <c r="J5" s="33">
        <f>(I5+(I6*(1-VLOOKUP(MAX($A$21:$A$1002),$A$21:$H$1002,6,FALSE))))</f>
        <v>371.95522388059703</v>
      </c>
      <c r="K5" s="26">
        <f>J5/J$4</f>
        <v>0.33452595148393793</v>
      </c>
    </row>
    <row r="6" spans="2:11" ht="12.75">
      <c r="B6" s="23" t="s">
        <v>22</v>
      </c>
      <c r="C6" s="24">
        <f>C9*E6</f>
        <v>143.775</v>
      </c>
      <c r="D6" s="25">
        <f>C6/C$4</f>
        <v>0.2873481057898499</v>
      </c>
      <c r="E6" s="34">
        <f>VLOOKUP(MAX($A$21:$A$1002),$A$21:$H$1002,5,FALSE)</f>
        <v>0.15</v>
      </c>
      <c r="F6" s="27"/>
      <c r="G6" s="28"/>
      <c r="H6" s="26"/>
      <c r="I6" s="32">
        <f>C6</f>
        <v>143.775</v>
      </c>
      <c r="J6" s="30"/>
      <c r="K6" s="26"/>
    </row>
    <row r="7" spans="2:11" ht="12.75">
      <c r="B7" s="23" t="s">
        <v>11</v>
      </c>
      <c r="C7" s="24">
        <f>F7</f>
        <v>1.4305970149253735</v>
      </c>
      <c r="D7" s="25">
        <f>C7/C$4</f>
        <v>0.002859185132237313</v>
      </c>
      <c r="E7" s="26">
        <f>C7/C$9</f>
        <v>0.0014925373134328363</v>
      </c>
      <c r="F7" s="27">
        <f>F$9*G7/SUM(G$4:G$8)</f>
        <v>1.4305970149253735</v>
      </c>
      <c r="G7" s="31">
        <f>VLOOKUP(MAX($A$21:$A$1002),$A$21:$H$1002,7,FALSE)</f>
        <v>0.0025</v>
      </c>
      <c r="H7" s="26">
        <f>F7/F$9</f>
        <v>0.0014925373134328363</v>
      </c>
      <c r="I7" s="32">
        <f>C7</f>
        <v>1.4305970149253735</v>
      </c>
      <c r="J7" s="30">
        <f>I7</f>
        <v>1.4305970149253735</v>
      </c>
      <c r="K7" s="26">
        <f>J7/J$4</f>
        <v>0.0012866382749382231</v>
      </c>
    </row>
    <row r="8" spans="2:11" ht="12.75">
      <c r="B8" s="23" t="s">
        <v>12</v>
      </c>
      <c r="C8" s="24">
        <f>F8</f>
        <v>12.87537313432836</v>
      </c>
      <c r="D8" s="25">
        <f>C8/C$4</f>
        <v>0.02573266619013581</v>
      </c>
      <c r="E8" s="26">
        <f>C8/C$9</f>
        <v>0.013432835820895524</v>
      </c>
      <c r="F8" s="27">
        <f>F$9*G8/SUM(G$4:G$8)</f>
        <v>12.87537313432836</v>
      </c>
      <c r="G8" s="31">
        <f>VLOOKUP(MAX($A$21:$A$1002),$A$21:$H$1002,8,FALSE)</f>
        <v>0.0225</v>
      </c>
      <c r="H8" s="26">
        <f>F8/F$9</f>
        <v>0.013432835820895524</v>
      </c>
      <c r="I8" s="35">
        <f>C8</f>
        <v>12.87537313432836</v>
      </c>
      <c r="J8" s="36">
        <f>I8</f>
        <v>12.87537313432836</v>
      </c>
      <c r="K8" s="37">
        <f>J8/J$4</f>
        <v>0.011579744474444006</v>
      </c>
    </row>
    <row r="9" spans="2:11" ht="12.75">
      <c r="B9" s="38"/>
      <c r="C9" s="39">
        <f>(C12*C13)+C11</f>
        <v>958.5</v>
      </c>
      <c r="D9" s="40"/>
      <c r="E9" s="41">
        <f>SUM(E4:E8)</f>
        <v>1.0000000000000002</v>
      </c>
      <c r="F9" s="42">
        <f>C9</f>
        <v>958.5</v>
      </c>
      <c r="G9" s="40"/>
      <c r="H9" s="41">
        <f>SUM(H4:H8)</f>
        <v>1</v>
      </c>
      <c r="I9" s="43">
        <f>SUM(I4:I8)</f>
        <v>1498.1486940298507</v>
      </c>
      <c r="J9" s="36"/>
      <c r="K9" s="44">
        <f>I9/I$9</f>
        <v>1</v>
      </c>
    </row>
    <row r="10" spans="3:11" ht="12.75">
      <c r="C10" s="45"/>
      <c r="E10" s="46"/>
      <c r="F10" s="47"/>
      <c r="G10" s="3"/>
      <c r="J10" s="48"/>
      <c r="K10" s="4"/>
    </row>
    <row r="11" spans="2:11" ht="12.75">
      <c r="B11" s="49" t="s">
        <v>13</v>
      </c>
      <c r="C11" s="50">
        <v>0</v>
      </c>
      <c r="D11" s="51" t="s">
        <v>14</v>
      </c>
      <c r="E11" s="46"/>
      <c r="F11" s="47"/>
      <c r="G11" s="3"/>
      <c r="J11" s="4"/>
      <c r="K11" s="4"/>
    </row>
    <row r="12" spans="2:11" ht="12.75">
      <c r="B12" s="52" t="s">
        <v>15</v>
      </c>
      <c r="C12" s="53">
        <f>VLOOKUP(MAX($A$21:$A$1002),$A$21:$H$1002,3,FALSE)</f>
        <v>319.5</v>
      </c>
      <c r="E12" s="46"/>
      <c r="F12" s="47"/>
      <c r="G12" s="3"/>
      <c r="J12" s="4"/>
      <c r="K12" s="4"/>
    </row>
    <row r="13" spans="2:11" ht="12.75">
      <c r="B13" s="52" t="s">
        <v>16</v>
      </c>
      <c r="C13" s="53">
        <f>VLOOKUP(MAX($A$21:$A$1002),$A$21:$H$1002,2,FALSE)</f>
        <v>3</v>
      </c>
      <c r="E13" s="2"/>
      <c r="F13" s="54"/>
      <c r="G13" s="3"/>
      <c r="J13" s="4"/>
      <c r="K13" s="4"/>
    </row>
    <row r="14" spans="2:11" ht="12.75">
      <c r="B14" s="1"/>
      <c r="D14" s="55"/>
      <c r="F14" s="2"/>
      <c r="J14" s="4"/>
      <c r="K14" s="4"/>
    </row>
    <row r="15" spans="2:11" ht="12.75">
      <c r="B15" s="56" t="s">
        <v>50</v>
      </c>
      <c r="D15" s="2"/>
      <c r="F15" s="3"/>
      <c r="J15" s="4"/>
      <c r="K15" s="4"/>
    </row>
    <row r="16" spans="2:13" ht="12.75">
      <c r="B16" s="57" t="s">
        <v>51</v>
      </c>
      <c r="D16" s="2"/>
      <c r="F16" s="3"/>
      <c r="J16" s="4"/>
      <c r="K16" s="4"/>
      <c r="M16" s="58"/>
    </row>
    <row r="17" spans="2:11" ht="12.75">
      <c r="B17" s="59" t="s">
        <v>17</v>
      </c>
      <c r="D17" s="2"/>
      <c r="F17" s="3"/>
      <c r="J17" s="4"/>
      <c r="K17" s="4"/>
    </row>
    <row r="18" spans="2:11" ht="12.75">
      <c r="B18" s="60" t="s">
        <v>18</v>
      </c>
      <c r="D18" s="2"/>
      <c r="F18" s="3"/>
      <c r="J18" s="4"/>
      <c r="K18" s="4"/>
    </row>
    <row r="19" spans="2:11" ht="12.75">
      <c r="B19" s="60" t="s">
        <v>19</v>
      </c>
      <c r="D19" s="2"/>
      <c r="F19" s="3"/>
      <c r="J19" s="4"/>
      <c r="K19" s="4"/>
    </row>
    <row r="20" spans="2:11" ht="12.75">
      <c r="B20" s="59"/>
      <c r="D20" s="2"/>
      <c r="F20" s="3"/>
      <c r="J20" s="4"/>
      <c r="K20" s="4"/>
    </row>
    <row r="21" spans="1:15" ht="36">
      <c r="A21" s="61" t="s">
        <v>52</v>
      </c>
      <c r="B21" s="62" t="s">
        <v>20</v>
      </c>
      <c r="C21" s="61" t="s">
        <v>21</v>
      </c>
      <c r="D21" s="63" t="s">
        <v>10</v>
      </c>
      <c r="E21" s="64" t="s">
        <v>22</v>
      </c>
      <c r="F21" s="64" t="s">
        <v>37</v>
      </c>
      <c r="G21" s="61" t="s">
        <v>11</v>
      </c>
      <c r="H21" s="61" t="s">
        <v>12</v>
      </c>
      <c r="I21" s="65" t="s">
        <v>23</v>
      </c>
      <c r="J21" s="61" t="s">
        <v>24</v>
      </c>
      <c r="K21" s="61" t="s">
        <v>25</v>
      </c>
      <c r="L21" s="65" t="s">
        <v>26</v>
      </c>
      <c r="M21" s="66" t="s">
        <v>27</v>
      </c>
      <c r="N21" s="66" t="s">
        <v>28</v>
      </c>
      <c r="O21" s="61"/>
    </row>
    <row r="22" spans="1:15" ht="12.75">
      <c r="A22" s="67"/>
      <c r="B22" s="68">
        <v>4</v>
      </c>
      <c r="C22" s="69">
        <v>275</v>
      </c>
      <c r="D22" s="70">
        <v>0.6</v>
      </c>
      <c r="E22" s="71">
        <v>0.4</v>
      </c>
      <c r="F22" s="71"/>
      <c r="G22" s="72">
        <v>0.0075</v>
      </c>
      <c r="H22" s="70">
        <v>0.02</v>
      </c>
      <c r="I22" s="73"/>
      <c r="J22" s="70" t="s">
        <v>29</v>
      </c>
      <c r="K22" s="70"/>
      <c r="L22" s="73"/>
      <c r="M22" s="74"/>
      <c r="N22" s="56"/>
      <c r="O22" s="56"/>
    </row>
    <row r="23" spans="1:13" ht="12.75">
      <c r="A23" s="67"/>
      <c r="B23" s="68">
        <v>3</v>
      </c>
      <c r="C23" s="69">
        <v>274</v>
      </c>
      <c r="D23" s="70">
        <v>0.63</v>
      </c>
      <c r="E23" s="71">
        <v>0.42</v>
      </c>
      <c r="F23" s="71"/>
      <c r="G23" s="72">
        <v>0.0075</v>
      </c>
      <c r="H23" s="70">
        <v>0.025</v>
      </c>
      <c r="I23" s="74" t="s">
        <v>30</v>
      </c>
      <c r="J23" s="70" t="s">
        <v>31</v>
      </c>
      <c r="K23" s="70" t="s">
        <v>32</v>
      </c>
      <c r="L23" s="73"/>
      <c r="M23" s="75"/>
    </row>
    <row r="24" spans="1:13" ht="12.75">
      <c r="A24" s="67">
        <v>1</v>
      </c>
      <c r="B24" s="68">
        <v>3</v>
      </c>
      <c r="C24" s="69">
        <v>280</v>
      </c>
      <c r="D24" s="70">
        <v>0.64</v>
      </c>
      <c r="E24" s="71">
        <v>0.3</v>
      </c>
      <c r="F24" s="71"/>
      <c r="G24" s="72">
        <v>0.0025</v>
      </c>
      <c r="H24" s="70">
        <v>0.0225</v>
      </c>
      <c r="I24" s="74" t="s">
        <v>33</v>
      </c>
      <c r="J24" s="70" t="s">
        <v>34</v>
      </c>
      <c r="K24" s="70" t="s">
        <v>32</v>
      </c>
      <c r="L24" s="73"/>
      <c r="M24" s="75"/>
    </row>
    <row r="25" spans="1:13" ht="12.75">
      <c r="A25" s="67">
        <v>2</v>
      </c>
      <c r="B25" s="68">
        <v>10</v>
      </c>
      <c r="C25" s="69">
        <v>273.05</v>
      </c>
      <c r="D25" s="70">
        <v>0.6119</v>
      </c>
      <c r="E25" s="71">
        <v>0.0183</v>
      </c>
      <c r="F25" s="71"/>
      <c r="G25" s="72">
        <v>0</v>
      </c>
      <c r="H25" s="70">
        <v>0.0269</v>
      </c>
      <c r="I25" s="74" t="s">
        <v>33</v>
      </c>
      <c r="J25" s="70" t="s">
        <v>35</v>
      </c>
      <c r="K25" s="70" t="s">
        <v>32</v>
      </c>
      <c r="L25" s="73"/>
      <c r="M25" s="76" t="s">
        <v>36</v>
      </c>
    </row>
    <row r="26" spans="1:12" ht="12.75">
      <c r="A26" s="67">
        <v>3</v>
      </c>
      <c r="B26" s="68">
        <v>4</v>
      </c>
      <c r="C26" s="69">
        <v>280</v>
      </c>
      <c r="D26" s="70">
        <v>0.61</v>
      </c>
      <c r="E26" s="71">
        <v>0.25</v>
      </c>
      <c r="F26" s="71">
        <v>0.55</v>
      </c>
      <c r="G26" s="72">
        <v>0.0025</v>
      </c>
      <c r="H26" s="70">
        <v>0.02</v>
      </c>
      <c r="I26" s="74" t="s">
        <v>30</v>
      </c>
      <c r="J26" s="70" t="s">
        <v>31</v>
      </c>
      <c r="K26" s="70" t="s">
        <v>32</v>
      </c>
      <c r="L26" s="77"/>
    </row>
    <row r="27" spans="1:12" ht="12.75">
      <c r="A27" s="67">
        <v>4</v>
      </c>
      <c r="B27" s="68">
        <v>6</v>
      </c>
      <c r="C27" s="69">
        <v>320</v>
      </c>
      <c r="D27" s="70">
        <v>0.55</v>
      </c>
      <c r="E27" s="71">
        <v>0.2</v>
      </c>
      <c r="F27" s="71">
        <v>0.55</v>
      </c>
      <c r="G27" s="72">
        <v>0.0035</v>
      </c>
      <c r="H27" s="70">
        <v>0.025</v>
      </c>
      <c r="I27" s="74" t="s">
        <v>30</v>
      </c>
      <c r="J27" s="70" t="s">
        <v>35</v>
      </c>
      <c r="K27" s="70" t="s">
        <v>32</v>
      </c>
      <c r="L27" s="77"/>
    </row>
    <row r="28" spans="1:13" ht="12.75">
      <c r="A28" s="67">
        <v>5</v>
      </c>
      <c r="B28" s="68">
        <v>4</v>
      </c>
      <c r="C28" s="69">
        <v>300</v>
      </c>
      <c r="D28" s="70">
        <v>0.62</v>
      </c>
      <c r="E28" s="71">
        <v>0.2</v>
      </c>
      <c r="F28" s="71">
        <v>0.5</v>
      </c>
      <c r="G28" s="72">
        <v>0.0025</v>
      </c>
      <c r="H28" s="70">
        <v>0.0225</v>
      </c>
      <c r="I28" s="74" t="s">
        <v>33</v>
      </c>
      <c r="J28" s="70" t="s">
        <v>34</v>
      </c>
      <c r="K28" s="70" t="s">
        <v>32</v>
      </c>
      <c r="L28" s="73"/>
      <c r="M28" s="75"/>
    </row>
    <row r="29" spans="1:13" ht="12.75">
      <c r="A29" s="67">
        <v>6</v>
      </c>
      <c r="B29" s="68">
        <v>7</v>
      </c>
      <c r="C29" s="69">
        <v>300</v>
      </c>
      <c r="D29" s="70">
        <v>0.62</v>
      </c>
      <c r="E29" s="71">
        <v>0.02</v>
      </c>
      <c r="F29" s="71">
        <v>0.5</v>
      </c>
      <c r="G29" s="72"/>
      <c r="H29" s="70">
        <v>0.025</v>
      </c>
      <c r="I29" s="74" t="s">
        <v>33</v>
      </c>
      <c r="J29" s="70" t="s">
        <v>34</v>
      </c>
      <c r="K29" s="70" t="s">
        <v>32</v>
      </c>
      <c r="L29" s="73"/>
      <c r="M29" s="75"/>
    </row>
    <row r="30" spans="1:13" ht="12.75">
      <c r="A30" s="67">
        <v>7</v>
      </c>
      <c r="B30" s="68">
        <v>8</v>
      </c>
      <c r="C30" s="69">
        <v>320</v>
      </c>
      <c r="D30" s="70">
        <v>0.62</v>
      </c>
      <c r="E30" s="71">
        <v>0.02</v>
      </c>
      <c r="F30" s="71">
        <v>0.5</v>
      </c>
      <c r="G30" s="72">
        <v>0.0025</v>
      </c>
      <c r="H30" s="70">
        <v>0.0225</v>
      </c>
      <c r="I30" s="74" t="s">
        <v>33</v>
      </c>
      <c r="J30" s="70" t="s">
        <v>34</v>
      </c>
      <c r="K30" s="70" t="s">
        <v>32</v>
      </c>
      <c r="L30" s="73"/>
      <c r="M30" s="75"/>
    </row>
    <row r="31" spans="1:12" ht="12.75">
      <c r="A31" s="67">
        <v>8</v>
      </c>
      <c r="B31" s="68">
        <v>4</v>
      </c>
      <c r="C31" s="69">
        <v>320</v>
      </c>
      <c r="D31" s="70">
        <v>0.61</v>
      </c>
      <c r="E31" s="71">
        <v>0.25</v>
      </c>
      <c r="F31" s="71">
        <v>0.55</v>
      </c>
      <c r="G31" s="72">
        <v>0.0025</v>
      </c>
      <c r="H31" s="70">
        <v>0.02</v>
      </c>
      <c r="I31" s="74" t="s">
        <v>30</v>
      </c>
      <c r="J31" s="70" t="s">
        <v>34</v>
      </c>
      <c r="K31" s="70" t="s">
        <v>32</v>
      </c>
      <c r="L31" s="77"/>
    </row>
    <row r="32" spans="1:12" ht="12.75">
      <c r="A32" s="67">
        <v>9</v>
      </c>
      <c r="B32" s="68">
        <v>2</v>
      </c>
      <c r="C32" s="69">
        <v>340</v>
      </c>
      <c r="D32" s="70">
        <v>0.64</v>
      </c>
      <c r="E32" s="71">
        <v>0.04</v>
      </c>
      <c r="F32" s="71">
        <v>0.55</v>
      </c>
      <c r="G32" s="72">
        <v>0</v>
      </c>
      <c r="H32" s="70">
        <v>0.0225</v>
      </c>
      <c r="I32" s="74"/>
      <c r="J32" s="70" t="s">
        <v>38</v>
      </c>
      <c r="K32" s="70" t="s">
        <v>32</v>
      </c>
      <c r="L32" s="77"/>
    </row>
    <row r="33" spans="1:12" ht="12.75">
      <c r="A33" s="78">
        <v>38798</v>
      </c>
      <c r="B33" s="68">
        <v>13</v>
      </c>
      <c r="C33" s="69">
        <v>320</v>
      </c>
      <c r="D33" s="70">
        <v>0.64</v>
      </c>
      <c r="E33" s="71">
        <v>0.2</v>
      </c>
      <c r="F33" s="71">
        <v>0.55</v>
      </c>
      <c r="G33" s="72">
        <v>0.0025</v>
      </c>
      <c r="H33" s="70">
        <v>0.0225</v>
      </c>
      <c r="I33" s="74"/>
      <c r="J33" s="70" t="s">
        <v>38</v>
      </c>
      <c r="K33" s="70" t="s">
        <v>32</v>
      </c>
      <c r="L33" s="77"/>
    </row>
    <row r="34" spans="1:12" ht="12.75">
      <c r="A34" s="78">
        <v>38799</v>
      </c>
      <c r="B34" s="68">
        <v>4</v>
      </c>
      <c r="C34" s="69">
        <v>320</v>
      </c>
      <c r="D34" s="70">
        <v>0.64</v>
      </c>
      <c r="E34" s="71">
        <v>0.2</v>
      </c>
      <c r="F34" s="71">
        <v>0.55</v>
      </c>
      <c r="G34" s="72">
        <v>0.0025</v>
      </c>
      <c r="H34" s="70">
        <v>0.0225</v>
      </c>
      <c r="I34" s="74"/>
      <c r="J34" s="70" t="s">
        <v>38</v>
      </c>
      <c r="K34" s="70" t="s">
        <v>32</v>
      </c>
      <c r="L34" s="77"/>
    </row>
    <row r="35" spans="1:12" ht="12.75">
      <c r="A35" s="78">
        <v>38804</v>
      </c>
      <c r="B35" s="68">
        <v>3</v>
      </c>
      <c r="C35" s="69">
        <v>320</v>
      </c>
      <c r="D35" s="70">
        <v>0.64</v>
      </c>
      <c r="E35" s="71">
        <v>0.2</v>
      </c>
      <c r="F35" s="71">
        <v>0.55</v>
      </c>
      <c r="G35" s="72">
        <v>0</v>
      </c>
      <c r="H35" s="70">
        <v>0.0225</v>
      </c>
      <c r="I35" s="74"/>
      <c r="J35" s="70" t="s">
        <v>38</v>
      </c>
      <c r="K35" s="70" t="s">
        <v>32</v>
      </c>
      <c r="L35" s="77"/>
    </row>
    <row r="36" spans="1:12" ht="12.75">
      <c r="A36" s="78">
        <v>38809</v>
      </c>
      <c r="B36" s="68">
        <v>4</v>
      </c>
      <c r="C36" s="69">
        <v>320</v>
      </c>
      <c r="D36" s="70">
        <v>0.65</v>
      </c>
      <c r="E36" s="71">
        <v>0.08</v>
      </c>
      <c r="F36" s="71">
        <v>0.55</v>
      </c>
      <c r="G36" s="72">
        <v>0</v>
      </c>
      <c r="H36" s="70">
        <v>0.0225</v>
      </c>
      <c r="I36" s="74"/>
      <c r="J36" s="70" t="s">
        <v>38</v>
      </c>
      <c r="K36" s="70" t="s">
        <v>32</v>
      </c>
      <c r="L36" s="77"/>
    </row>
    <row r="37" spans="1:12" ht="12.75">
      <c r="A37" s="78">
        <v>38846</v>
      </c>
      <c r="B37" s="68">
        <v>8</v>
      </c>
      <c r="C37" s="69">
        <v>320</v>
      </c>
      <c r="D37" s="70">
        <v>0.63</v>
      </c>
      <c r="E37" s="71">
        <v>0.03</v>
      </c>
      <c r="F37" s="71">
        <v>0.55</v>
      </c>
      <c r="G37" s="72">
        <v>0</v>
      </c>
      <c r="H37" s="70">
        <v>0.0225</v>
      </c>
      <c r="I37" s="74"/>
      <c r="J37" s="70" t="s">
        <v>38</v>
      </c>
      <c r="K37" s="70" t="s">
        <v>32</v>
      </c>
      <c r="L37" s="77"/>
    </row>
    <row r="38" spans="1:12" ht="12.75">
      <c r="A38" s="78">
        <v>38913</v>
      </c>
      <c r="B38" s="68">
        <v>3</v>
      </c>
      <c r="C38" s="69">
        <v>320</v>
      </c>
      <c r="D38" s="70">
        <v>0.63</v>
      </c>
      <c r="E38" s="71">
        <v>0.1</v>
      </c>
      <c r="F38" s="71">
        <v>0</v>
      </c>
      <c r="G38" s="72">
        <v>0.0007</v>
      </c>
      <c r="H38" s="70">
        <v>0.02</v>
      </c>
      <c r="I38" s="74" t="s">
        <v>30</v>
      </c>
      <c r="J38" s="70" t="s">
        <v>55</v>
      </c>
      <c r="K38" s="70" t="s">
        <v>32</v>
      </c>
      <c r="L38" s="77"/>
    </row>
    <row r="39" spans="1:12" ht="12.75">
      <c r="A39" s="78">
        <v>38940</v>
      </c>
      <c r="B39" s="68">
        <v>5</v>
      </c>
      <c r="C39" s="69">
        <v>320</v>
      </c>
      <c r="D39" s="70">
        <v>0.62</v>
      </c>
      <c r="E39" s="71">
        <v>0.18</v>
      </c>
      <c r="F39" s="71">
        <v>0.5</v>
      </c>
      <c r="G39" s="72">
        <v>0.0007</v>
      </c>
      <c r="H39" s="70">
        <v>0.025</v>
      </c>
      <c r="I39" s="74" t="s">
        <v>53</v>
      </c>
      <c r="J39" s="70" t="s">
        <v>54</v>
      </c>
      <c r="K39" s="70" t="s">
        <v>32</v>
      </c>
      <c r="L39" s="77"/>
    </row>
    <row r="40" spans="1:12" ht="12.75">
      <c r="A40" s="78">
        <v>38942</v>
      </c>
      <c r="B40" s="68">
        <v>3</v>
      </c>
      <c r="C40" s="69">
        <v>319.5</v>
      </c>
      <c r="D40" s="70">
        <v>0.65</v>
      </c>
      <c r="E40" s="71">
        <v>0.15</v>
      </c>
      <c r="F40" s="71">
        <v>0.5</v>
      </c>
      <c r="G40" s="72">
        <v>0.0025</v>
      </c>
      <c r="H40" s="70">
        <v>0.0225</v>
      </c>
      <c r="I40" s="74"/>
      <c r="J40" s="70" t="s">
        <v>38</v>
      </c>
      <c r="K40" s="70" t="s">
        <v>32</v>
      </c>
      <c r="L40" s="77"/>
    </row>
    <row r="42" ht="12.75">
      <c r="C42" s="1"/>
    </row>
    <row r="43" ht="12.75">
      <c r="B43" s="104">
        <f>B40*365</f>
        <v>1095</v>
      </c>
    </row>
    <row r="44" ht="12.75">
      <c r="B44" s="104">
        <f>B43*17</f>
        <v>18615</v>
      </c>
    </row>
    <row r="51" spans="2:7" ht="12.75">
      <c r="B51" s="82"/>
      <c r="C51" s="79"/>
      <c r="D51" s="79"/>
      <c r="E51" s="79"/>
      <c r="F51" s="80"/>
      <c r="G51" s="83"/>
    </row>
  </sheetData>
  <hyperlinks>
    <hyperlink ref="M25" r:id="rId1" tooltip="View the profile of pizzanapoletana" display="http://www.pizzamaking.com/forum/index.php?action=profile;u=417"/>
  </hyperlinks>
  <printOptions/>
  <pageMargins left="0.42" right="0.54" top="0.69" bottom="1" header="0.44" footer="0.5"/>
  <pageSetup fitToHeight="1" fitToWidth="1" horizontalDpi="1200" verticalDpi="1200" orientation="landscape" scale="9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1:G17"/>
  <sheetViews>
    <sheetView workbookViewId="0" topLeftCell="A1">
      <selection activeCell="B11" sqref="B11:G17"/>
    </sheetView>
  </sheetViews>
  <sheetFormatPr defaultColWidth="9.140625" defaultRowHeight="12.75"/>
  <cols>
    <col min="2" max="2" width="37.7109375" style="0" bestFit="1" customWidth="1"/>
    <col min="7" max="7" width="15.7109375" style="0" customWidth="1"/>
  </cols>
  <sheetData>
    <row r="10" ht="13.5" thickBot="1"/>
    <row r="11" spans="2:7" ht="24.75" thickBot="1">
      <c r="B11" s="81" t="s">
        <v>3</v>
      </c>
      <c r="C11" s="98" t="s">
        <v>43</v>
      </c>
      <c r="D11" s="99" t="s">
        <v>41</v>
      </c>
      <c r="E11" s="99" t="s">
        <v>42</v>
      </c>
      <c r="F11" s="99" t="s">
        <v>39</v>
      </c>
      <c r="G11" s="100" t="s">
        <v>40</v>
      </c>
    </row>
    <row r="12" spans="2:7" ht="12.75">
      <c r="B12" s="84" t="s">
        <v>45</v>
      </c>
      <c r="C12" s="85">
        <v>115</v>
      </c>
      <c r="D12" s="85">
        <f>C12*3</f>
        <v>345</v>
      </c>
      <c r="E12" s="85">
        <f>5*C12</f>
        <v>575</v>
      </c>
      <c r="F12" s="86">
        <f>E12/E$13</f>
        <v>0.6216216216216216</v>
      </c>
      <c r="G12" s="101"/>
    </row>
    <row r="13" spans="2:7" ht="12.75">
      <c r="B13" s="84" t="s">
        <v>48</v>
      </c>
      <c r="C13" s="87">
        <v>185</v>
      </c>
      <c r="D13" s="87">
        <f>C13*3</f>
        <v>555</v>
      </c>
      <c r="E13" s="87">
        <f>5*C13</f>
        <v>925</v>
      </c>
      <c r="F13" s="88">
        <v>1</v>
      </c>
      <c r="G13" s="102">
        <f>C13/C$12*1000</f>
        <v>1608.695652173913</v>
      </c>
    </row>
    <row r="14" spans="2:7" ht="12.75">
      <c r="B14" s="84" t="s">
        <v>46</v>
      </c>
      <c r="C14" s="87">
        <v>4.6</v>
      </c>
      <c r="D14" s="87">
        <f>C14*3</f>
        <v>13.799999999999999</v>
      </c>
      <c r="E14" s="87">
        <f>5*C14</f>
        <v>23</v>
      </c>
      <c r="F14" s="89">
        <f>E14/E$13</f>
        <v>0.024864864864864864</v>
      </c>
      <c r="G14" s="102">
        <f>C14/C$12*1000</f>
        <v>39.99999999999999</v>
      </c>
    </row>
    <row r="15" spans="2:7" ht="12.75">
      <c r="B15" s="84" t="s">
        <v>47</v>
      </c>
      <c r="C15" s="87">
        <v>16</v>
      </c>
      <c r="D15" s="87">
        <f>C15*3</f>
        <v>48</v>
      </c>
      <c r="E15" s="87">
        <f>5*C15</f>
        <v>80</v>
      </c>
      <c r="F15" s="89">
        <f>E15/E$13</f>
        <v>0.08648648648648649</v>
      </c>
      <c r="G15" s="102">
        <f>C15/C$12*1000</f>
        <v>139.1304347826087</v>
      </c>
    </row>
    <row r="16" spans="2:7" ht="12.75">
      <c r="B16" s="90" t="s">
        <v>49</v>
      </c>
      <c r="C16" s="91">
        <v>0.5</v>
      </c>
      <c r="D16" s="91">
        <f>C16*3</f>
        <v>1.5</v>
      </c>
      <c r="E16" s="91">
        <f>5*C16</f>
        <v>2.5</v>
      </c>
      <c r="F16" s="92">
        <f>E16/E$13</f>
        <v>0.002702702702702703</v>
      </c>
      <c r="G16" s="103">
        <f>C16/C$12*1000</f>
        <v>4.3478260869565215</v>
      </c>
    </row>
    <row r="17" spans="2:7" ht="13.5" thickBot="1">
      <c r="B17" s="93" t="s">
        <v>44</v>
      </c>
      <c r="C17" s="94">
        <f>SUM(C12:C16)</f>
        <v>321.1</v>
      </c>
      <c r="D17" s="95"/>
      <c r="E17" s="95"/>
      <c r="F17" s="96"/>
      <c r="G17" s="9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B63" sqref="B6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Varasano</dc:creator>
  <cp:keywords/>
  <dc:description/>
  <cp:lastModifiedBy>Jeffrey Varasano</cp:lastModifiedBy>
  <cp:lastPrinted>2006-07-15T14:15:41Z</cp:lastPrinted>
  <dcterms:created xsi:type="dcterms:W3CDTF">2005-04-25T20:04:51Z</dcterms:created>
  <dcterms:modified xsi:type="dcterms:W3CDTF">2006-10-31T14:23:33Z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